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yan-laptop\Desktop\MegaSAT manual2025\"/>
    </mc:Choice>
  </mc:AlternateContent>
  <xr:revisionPtr revIDLastSave="0" documentId="13_ncr:1_{752E218A-85B0-4E02-91DC-DB0007C44065}" xr6:coauthVersionLast="47" xr6:coauthVersionMax="47" xr10:uidLastSave="{00000000-0000-0000-0000-000000000000}"/>
  <bookViews>
    <workbookView xWindow="3960" yWindow="1590" windowWidth="21600" windowHeight="11295" activeTab="3" xr2:uid="{95881071-1460-478B-A50A-5C070C4A535A}"/>
  </bookViews>
  <sheets>
    <sheet name="Internal Temp" sheetId="5" r:id="rId1"/>
    <sheet name="External Temp" sheetId="4" r:id="rId2"/>
    <sheet name="Humidity" sheetId="6" r:id="rId3"/>
    <sheet name="Pressur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7" l="1"/>
  <c r="B34" i="6"/>
  <c r="B40" i="4"/>
  <c r="C35" i="4"/>
  <c r="A35" i="4"/>
  <c r="B40" i="5"/>
  <c r="C35" i="5"/>
  <c r="A35" i="5"/>
  <c r="B10" i="7"/>
  <c r="B12" i="6"/>
  <c r="B6" i="6"/>
  <c r="B13" i="6" s="1"/>
  <c r="B8" i="6"/>
  <c r="B24" i="6" s="1"/>
  <c r="G13" i="7"/>
  <c r="G15" i="6"/>
  <c r="G14" i="4"/>
  <c r="G14" i="5"/>
  <c r="G15" i="5" s="1"/>
  <c r="B14" i="5"/>
  <c r="B12" i="5"/>
  <c r="B7" i="5"/>
  <c r="B11" i="5" s="1"/>
  <c r="B12" i="4"/>
  <c r="B14" i="4"/>
  <c r="B7" i="4"/>
  <c r="B11" i="4" s="1"/>
  <c r="D35" i="5" l="1"/>
  <c r="E36" i="5" s="1"/>
  <c r="D35" i="4"/>
  <c r="E36" i="4" s="1"/>
  <c r="E35" i="4"/>
  <c r="B18" i="6"/>
  <c r="B16" i="7"/>
  <c r="G14" i="7"/>
  <c r="B15" i="7"/>
  <c r="G16" i="6"/>
  <c r="G21" i="6" s="1"/>
  <c r="B17" i="6"/>
  <c r="G15" i="4"/>
  <c r="G20" i="4" s="1"/>
  <c r="G18" i="4"/>
  <c r="G18" i="5"/>
  <c r="G20" i="5"/>
  <c r="B17" i="5"/>
  <c r="B16" i="5"/>
  <c r="B17" i="4"/>
  <c r="B16" i="4"/>
  <c r="E35" i="5" l="1"/>
  <c r="B21" i="6"/>
  <c r="B20" i="6"/>
  <c r="B25" i="6" s="1"/>
  <c r="B28" i="6"/>
  <c r="B29" i="6"/>
  <c r="B22" i="7"/>
  <c r="B25" i="7" s="1"/>
  <c r="B21" i="7"/>
  <c r="B24" i="7" s="1"/>
  <c r="B27" i="7" s="1"/>
  <c r="G19" i="6"/>
  <c r="G25" i="4"/>
  <c r="G26" i="4" s="1"/>
  <c r="G25" i="5"/>
  <c r="G26" i="5" s="1"/>
  <c r="B26" i="6" l="1"/>
  <c r="B22" i="6"/>
  <c r="G26" i="6"/>
  <c r="G27" i="6" s="1"/>
</calcChain>
</file>

<file path=xl/sharedStrings.xml><?xml version="1.0" encoding="utf-8"?>
<sst xmlns="http://schemas.openxmlformats.org/spreadsheetml/2006/main" count="183" uniqueCount="114">
  <si>
    <t>Rlower</t>
  </si>
  <si>
    <t>a</t>
  </si>
  <si>
    <t>b (Rrest)</t>
  </si>
  <si>
    <t>c (Rrest*Rmeasure)</t>
  </si>
  <si>
    <t>Potentiometer Values</t>
  </si>
  <si>
    <t>R19 Upper Half (Calculated)</t>
  </si>
  <si>
    <t>Generic Amplfier Circuit Values</t>
  </si>
  <si>
    <t>RA</t>
  </si>
  <si>
    <t>RB</t>
  </si>
  <si>
    <t>RC</t>
  </si>
  <si>
    <t>RF</t>
  </si>
  <si>
    <t>ENTER VALUE between 0 and 100000</t>
  </si>
  <si>
    <t>R19 Lower Half</t>
  </si>
  <si>
    <t>Gain (unitless)</t>
  </si>
  <si>
    <t>Offset (Volts)</t>
  </si>
  <si>
    <t>Vref</t>
  </si>
  <si>
    <t>ENTER VALUE between 0 1000 - USE .001 INSTEAD OF 0</t>
  </si>
  <si>
    <t>All Resistances in Ohms</t>
  </si>
  <si>
    <t>ENTER VALUE between 0 and 1000 - USE .001 INSTEAD OF 0</t>
  </si>
  <si>
    <t>R14</t>
  </si>
  <si>
    <t>R13 Lower Half</t>
  </si>
  <si>
    <t>R13 Upper Half (Calculated)</t>
  </si>
  <si>
    <t>Diode Voltage Slope</t>
  </si>
  <si>
    <t>From two temperate values we calculate the unamplifed diode voltage as a function of temperature</t>
  </si>
  <si>
    <t>PREDICTED AMPLIFIER RESPONSE BASED ON RESISTOR SETTINGS</t>
  </si>
  <si>
    <t>Diode Voltage Offset</t>
  </si>
  <si>
    <t>Diode Voltage 1 (V)</t>
  </si>
  <si>
    <t>Diode Temperature 1 (C)</t>
  </si>
  <si>
    <t>Diode Temperature 2 (C)</t>
  </si>
  <si>
    <t>Diode Voltage 2 (V)</t>
  </si>
  <si>
    <t>Desired Minimum Temp</t>
  </si>
  <si>
    <t>Diode Voltage At Mininum Temp</t>
  </si>
  <si>
    <t>From this slope and offset we can predict diode voltage at our target min and max</t>
  </si>
  <si>
    <t>Desired Maximum Temp (C)</t>
  </si>
  <si>
    <t>Diode Voltage At Max Temp (V)</t>
  </si>
  <si>
    <t>Target Amplfier Gain</t>
  </si>
  <si>
    <t>Target Amplifier Offset</t>
  </si>
  <si>
    <t>Amplified Voltage at Max Temp (V)</t>
  </si>
  <si>
    <t>Now we set our put in our min/max amplified voltage (From the ADC Range)</t>
  </si>
  <si>
    <t>Note you should only enter values in the bold boxes</t>
  </si>
  <si>
    <t>Amplified Voltage at Min Temp (V)</t>
  </si>
  <si>
    <t>Make sure you Max Temp &gt; Min Temp</t>
  </si>
  <si>
    <t>Gain and Offset Calculator External Temperature</t>
  </si>
  <si>
    <t>Gain and Offset Calculator Internal Temperature</t>
  </si>
  <si>
    <t>Gain and Offset Humidity</t>
  </si>
  <si>
    <t>Humidity Voltage 1 (V)</t>
  </si>
  <si>
    <t>Humidity Voltage 2 (V)</t>
  </si>
  <si>
    <t>Humidity %1</t>
  </si>
  <si>
    <t>Humidity %2</t>
  </si>
  <si>
    <t>Humidity Voltage Slope</t>
  </si>
  <si>
    <t>Humidity Voltage Offset</t>
  </si>
  <si>
    <t>R8 Upper Half</t>
  </si>
  <si>
    <t>R7 Upper Half</t>
  </si>
  <si>
    <t>R8 Lower Half (Calculated)</t>
  </si>
  <si>
    <t>ENTER VALUE between 0 and 10000 - USE .001 INSTEAD OF 0</t>
  </si>
  <si>
    <t>ENTER VALUE between 0 and 10000</t>
  </si>
  <si>
    <t>R7 Lower Half (Calculated)</t>
  </si>
  <si>
    <t>Desired Minimum Humidity</t>
  </si>
  <si>
    <t>Desired Maximum Humidity</t>
  </si>
  <si>
    <t>Amplified Voltage at Max Humidity</t>
  </si>
  <si>
    <t>Amplified Voltage at Min Humidity</t>
  </si>
  <si>
    <t>First Stage Gain (unitless)</t>
  </si>
  <si>
    <t>First Stage Offset (Volts)</t>
  </si>
  <si>
    <t>Second Stage Gain</t>
  </si>
  <si>
    <t>Total Gain</t>
  </si>
  <si>
    <t>Total Offset</t>
  </si>
  <si>
    <t>Gain and Offset Calculator Amplfied Pressure</t>
  </si>
  <si>
    <t>Pressure 1 (psi)</t>
  </si>
  <si>
    <t>Pressure 1 Voltage</t>
  </si>
  <si>
    <t>Pressure 2 Voltage</t>
  </si>
  <si>
    <t>Pressure 2 (psi)</t>
  </si>
  <si>
    <t>Pressure Voltage Slope</t>
  </si>
  <si>
    <t>Pressure Voltage Offset</t>
  </si>
  <si>
    <t>R31</t>
  </si>
  <si>
    <t>Max Pressure (psi)</t>
  </si>
  <si>
    <t>Max  Amplified Voltage</t>
  </si>
  <si>
    <t>Min Amplied Voltage</t>
  </si>
  <si>
    <t>Pressure Sensor Voltage at Max Voltage</t>
  </si>
  <si>
    <t>Pressure Sensor Voltage at Min Voltage</t>
  </si>
  <si>
    <t>Min Pressure (psi)</t>
  </si>
  <si>
    <t>Adjusts 2nd stage gain</t>
  </si>
  <si>
    <t>Adjusts 1st stage gain and offset</t>
  </si>
  <si>
    <t>0% Voltage after first stage</t>
  </si>
  <si>
    <t>Minimum Sensor Voltage (V)</t>
  </si>
  <si>
    <t xml:space="preserve">Maximum Sensor Voltage </t>
  </si>
  <si>
    <t>100% Voltage after first stage</t>
  </si>
  <si>
    <t>100% Voltage/5V</t>
  </si>
  <si>
    <t>Target Combined first and second stage gain and offset</t>
  </si>
  <si>
    <t>0% Voltage after 2nd stage</t>
  </si>
  <si>
    <t>100% Voltage after 2nd stage</t>
  </si>
  <si>
    <t>Size of Pressure Range (PSI)</t>
  </si>
  <si>
    <t>R20</t>
  </si>
  <si>
    <t>Make sure Max Temp &gt; Min Temp</t>
  </si>
  <si>
    <t>Measured Value</t>
  </si>
  <si>
    <t>Parallel Resistance Value (Ohms)</t>
  </si>
  <si>
    <t>Measured Value of R13</t>
  </si>
  <si>
    <t>Ohms</t>
  </si>
  <si>
    <t>Roots</t>
  </si>
  <si>
    <r>
      <t xml:space="preserve">Ohms </t>
    </r>
    <r>
      <rPr>
        <b/>
        <sz val="11"/>
        <color theme="1"/>
        <rFont val="Aptos Narrow"/>
        <family val="2"/>
        <scheme val="minor"/>
      </rPr>
      <t>For temps this is the correct value</t>
    </r>
  </si>
  <si>
    <t>R13 Measurement Correction (Calculates what R13 is based on measured value)</t>
  </si>
  <si>
    <t>R13 Verification (Calculated measured resistance based on R13)</t>
  </si>
  <si>
    <t>Desired Value R13</t>
  </si>
  <si>
    <t>R19 Measurement Correction (Calculates what R19 is based on measured value)</t>
  </si>
  <si>
    <t>R19 Verification (Calculated measured resistance based on R19)</t>
  </si>
  <si>
    <t>Desired Value R19</t>
  </si>
  <si>
    <t>Measured Value of R19</t>
  </si>
  <si>
    <t>Quadratic Formula Inputs Do not Modify</t>
  </si>
  <si>
    <t>R13 ower</t>
  </si>
  <si>
    <t>Measured Value R13 lower(Ohms)</t>
  </si>
  <si>
    <t>Measured Value R19 Lower(Ohms)</t>
  </si>
  <si>
    <t>R7 Verification (Calculated measured resistance based on R7)</t>
  </si>
  <si>
    <t>Desired Value R7 Lower Half</t>
  </si>
  <si>
    <t>R31 Verification (Calculated measured resistance based on R7)</t>
  </si>
  <si>
    <t>Desired Value 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</si>
</sst>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/>
    <xf numFmtId="16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D10D-2175-414C-99B0-B25E9B65446A}">
  <dimension ref="A1:I40"/>
  <sheetViews>
    <sheetView topLeftCell="A24" workbookViewId="0">
      <selection activeCell="B31" sqref="B31"/>
    </sheetView>
  </sheetViews>
  <sheetFormatPr defaultRowHeight="15" x14ac:dyDescent="0.25"/>
  <cols>
    <col min="1" max="1" width="33.85546875" customWidth="1"/>
    <col min="6" max="6" width="30.7109375" customWidth="1"/>
    <col min="7" max="7" width="19.85546875" customWidth="1"/>
  </cols>
  <sheetData>
    <row r="1" spans="1:9" x14ac:dyDescent="0.25">
      <c r="A1" s="5" t="s">
        <v>43</v>
      </c>
      <c r="B1" s="5"/>
      <c r="C1" s="5"/>
      <c r="D1" s="5"/>
      <c r="E1" s="5"/>
      <c r="F1" s="5"/>
      <c r="G1" s="5"/>
    </row>
    <row r="2" spans="1:9" x14ac:dyDescent="0.25">
      <c r="A2" s="5"/>
      <c r="B2" s="5"/>
      <c r="C2" s="5"/>
      <c r="D2" s="5"/>
      <c r="E2" s="5"/>
      <c r="F2" s="5"/>
      <c r="G2" s="5"/>
    </row>
    <row r="3" spans="1:9" x14ac:dyDescent="0.25">
      <c r="A3" s="2" t="s">
        <v>39</v>
      </c>
    </row>
    <row r="4" spans="1:9" ht="15.75" thickBot="1" x14ac:dyDescent="0.3">
      <c r="A4" t="s">
        <v>4</v>
      </c>
      <c r="B4" t="s">
        <v>17</v>
      </c>
    </row>
    <row r="5" spans="1:9" ht="15.75" thickBot="1" x14ac:dyDescent="0.3">
      <c r="A5" t="s">
        <v>19</v>
      </c>
      <c r="B5" s="3">
        <v>71500</v>
      </c>
      <c r="C5" s="2" t="s">
        <v>11</v>
      </c>
    </row>
    <row r="6" spans="1:9" ht="15.75" thickBot="1" x14ac:dyDescent="0.3">
      <c r="A6" t="s">
        <v>20</v>
      </c>
      <c r="B6" s="3">
        <v>437</v>
      </c>
      <c r="C6" s="2" t="s">
        <v>18</v>
      </c>
    </row>
    <row r="7" spans="1:9" x14ac:dyDescent="0.25">
      <c r="A7" t="s">
        <v>21</v>
      </c>
      <c r="B7">
        <f>1000-B6</f>
        <v>563</v>
      </c>
    </row>
    <row r="8" spans="1:9" ht="15.75" thickBot="1" x14ac:dyDescent="0.3">
      <c r="A8" t="s">
        <v>15</v>
      </c>
      <c r="B8">
        <v>5</v>
      </c>
    </row>
    <row r="9" spans="1:9" ht="15.75" thickBot="1" x14ac:dyDescent="0.3">
      <c r="F9" t="s">
        <v>26</v>
      </c>
      <c r="G9" s="3">
        <v>0.6</v>
      </c>
      <c r="I9" t="s">
        <v>23</v>
      </c>
    </row>
    <row r="10" spans="1:9" ht="15.75" thickBot="1" x14ac:dyDescent="0.3">
      <c r="A10" t="s">
        <v>6</v>
      </c>
      <c r="F10" t="s">
        <v>27</v>
      </c>
      <c r="G10" s="3">
        <v>25</v>
      </c>
    </row>
    <row r="11" spans="1:9" ht="15.75" thickBot="1" x14ac:dyDescent="0.3">
      <c r="A11" t="s">
        <v>7</v>
      </c>
      <c r="B11">
        <f>3900+B7</f>
        <v>4463</v>
      </c>
      <c r="F11" t="s">
        <v>29</v>
      </c>
      <c r="G11" s="3">
        <v>0.66249999999999998</v>
      </c>
    </row>
    <row r="12" spans="1:9" ht="15.75" thickBot="1" x14ac:dyDescent="0.3">
      <c r="A12" t="s">
        <v>8</v>
      </c>
      <c r="B12">
        <f>B6</f>
        <v>437</v>
      </c>
      <c r="F12" t="s">
        <v>28</v>
      </c>
      <c r="G12" s="3">
        <v>0</v>
      </c>
    </row>
    <row r="13" spans="1:9" x14ac:dyDescent="0.25">
      <c r="A13" t="s">
        <v>9</v>
      </c>
      <c r="B13">
        <v>20000</v>
      </c>
    </row>
    <row r="14" spans="1:9" x14ac:dyDescent="0.25">
      <c r="A14" t="s">
        <v>10</v>
      </c>
      <c r="B14">
        <f>180000+B5</f>
        <v>251500</v>
      </c>
      <c r="F14" t="s">
        <v>22</v>
      </c>
      <c r="G14">
        <f>(G9-G11)/(G10-G12)</f>
        <v>-2.5000000000000001E-3</v>
      </c>
      <c r="I14" t="s">
        <v>32</v>
      </c>
    </row>
    <row r="15" spans="1:9" x14ac:dyDescent="0.25">
      <c r="A15" s="2" t="s">
        <v>24</v>
      </c>
      <c r="F15" t="s">
        <v>25</v>
      </c>
      <c r="G15">
        <f>-G14*G12+G11</f>
        <v>0.66249999999999998</v>
      </c>
    </row>
    <row r="16" spans="1:9" ht="15.75" thickBot="1" x14ac:dyDescent="0.3">
      <c r="A16" t="s">
        <v>13</v>
      </c>
      <c r="B16">
        <f>1+((B14/B11+B14/B12)/(1+B13/B12+B13/B11))</f>
        <v>13.329624000945032</v>
      </c>
    </row>
    <row r="17" spans="1:9" ht="15.75" thickBot="1" x14ac:dyDescent="0.3">
      <c r="A17" t="s">
        <v>14</v>
      </c>
      <c r="B17">
        <f>-1*B8*(B14/B11*(1/(1+B13/B11+B13/B12)))</f>
        <v>-5.4980058045030393</v>
      </c>
      <c r="F17" t="s">
        <v>33</v>
      </c>
      <c r="G17" s="3">
        <v>100</v>
      </c>
      <c r="I17" t="s">
        <v>41</v>
      </c>
    </row>
    <row r="18" spans="1:9" ht="15.75" thickBot="1" x14ac:dyDescent="0.3">
      <c r="F18" t="s">
        <v>34</v>
      </c>
      <c r="G18">
        <f>G$14*G17+G$15</f>
        <v>0.41249999999999998</v>
      </c>
    </row>
    <row r="19" spans="1:9" ht="15.75" thickBot="1" x14ac:dyDescent="0.3">
      <c r="F19" t="s">
        <v>30</v>
      </c>
      <c r="G19" s="3">
        <v>-50</v>
      </c>
    </row>
    <row r="20" spans="1:9" x14ac:dyDescent="0.25">
      <c r="F20" t="s">
        <v>31</v>
      </c>
      <c r="G20">
        <f>G$14*G19+G$15</f>
        <v>0.78749999999999998</v>
      </c>
    </row>
    <row r="21" spans="1:9" ht="15.75" thickBot="1" x14ac:dyDescent="0.3"/>
    <row r="22" spans="1:9" ht="15.75" thickBot="1" x14ac:dyDescent="0.3">
      <c r="F22" t="s">
        <v>40</v>
      </c>
      <c r="G22" s="3">
        <v>5</v>
      </c>
      <c r="I22" t="s">
        <v>38</v>
      </c>
    </row>
    <row r="23" spans="1:9" ht="15.75" thickBot="1" x14ac:dyDescent="0.3">
      <c r="F23" t="s">
        <v>37</v>
      </c>
      <c r="G23" s="3">
        <v>0</v>
      </c>
    </row>
    <row r="25" spans="1:9" x14ac:dyDescent="0.25">
      <c r="F25" t="s">
        <v>35</v>
      </c>
      <c r="G25">
        <f>(G22-G23)/(G20-G18)</f>
        <v>13.333333333333334</v>
      </c>
    </row>
    <row r="26" spans="1:9" x14ac:dyDescent="0.25">
      <c r="F26" t="s">
        <v>36</v>
      </c>
      <c r="G26">
        <f>-G25*G20+G22</f>
        <v>-5.5</v>
      </c>
    </row>
    <row r="29" spans="1:9" ht="15.75" thickBot="1" x14ac:dyDescent="0.3">
      <c r="A29" t="s">
        <v>99</v>
      </c>
    </row>
    <row r="30" spans="1:9" ht="15.75" thickBot="1" x14ac:dyDescent="0.3">
      <c r="A30" t="s">
        <v>108</v>
      </c>
      <c r="B30" s="3">
        <v>412</v>
      </c>
    </row>
    <row r="31" spans="1:9" x14ac:dyDescent="0.25">
      <c r="A31" t="s">
        <v>94</v>
      </c>
      <c r="B31">
        <v>2826</v>
      </c>
    </row>
    <row r="32" spans="1:9" x14ac:dyDescent="0.25">
      <c r="A32" s="2"/>
    </row>
    <row r="33" spans="1:6" x14ac:dyDescent="0.25">
      <c r="A33" t="s">
        <v>106</v>
      </c>
    </row>
    <row r="34" spans="1:6" x14ac:dyDescent="0.25">
      <c r="A34" t="s">
        <v>95</v>
      </c>
      <c r="B34" t="s">
        <v>1</v>
      </c>
      <c r="C34" t="s">
        <v>2</v>
      </c>
      <c r="D34" t="s">
        <v>3</v>
      </c>
      <c r="E34" t="s">
        <v>107</v>
      </c>
      <c r="F34" t="s">
        <v>97</v>
      </c>
    </row>
    <row r="35" spans="1:6" x14ac:dyDescent="0.25">
      <c r="A35">
        <f>B30</f>
        <v>412</v>
      </c>
      <c r="B35">
        <v>-1</v>
      </c>
      <c r="C35">
        <f>B31+1000+3900</f>
        <v>7726</v>
      </c>
      <c r="D35">
        <f>-C35*A35</f>
        <v>-3183112</v>
      </c>
      <c r="E35" s="1">
        <f>(-C35+SQRT((C35^2)-4*(B35)*(D35)))/(2*B35)</f>
        <v>436.68171355899858</v>
      </c>
      <c r="F35" t="s">
        <v>98</v>
      </c>
    </row>
    <row r="36" spans="1:6" x14ac:dyDescent="0.25">
      <c r="E36">
        <f>(-C35-SQRT((C35^2)-4*(B35)*(D35)))/(2*B35)</f>
        <v>7289.318286441001</v>
      </c>
      <c r="F36" t="s">
        <v>96</v>
      </c>
    </row>
    <row r="38" spans="1:6" ht="15.75" thickBot="1" x14ac:dyDescent="0.3">
      <c r="A38" t="s">
        <v>100</v>
      </c>
    </row>
    <row r="39" spans="1:6" ht="15.75" thickBot="1" x14ac:dyDescent="0.3">
      <c r="A39" t="s">
        <v>101</v>
      </c>
      <c r="B39" s="3">
        <v>437</v>
      </c>
    </row>
    <row r="40" spans="1:6" x14ac:dyDescent="0.25">
      <c r="A40" t="s">
        <v>93</v>
      </c>
      <c r="B40">
        <f>(1/B39+1/(1000-B39+3900+B31))^(-1)</f>
        <v>412.28229355423247</v>
      </c>
    </row>
  </sheetData>
  <mergeCells count="1">
    <mergeCell ref="A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FBBF3-4AB3-4123-8AE3-BE9EF741AA09}">
  <dimension ref="A1:I40"/>
  <sheetViews>
    <sheetView topLeftCell="A6" zoomScale="115" zoomScaleNormal="115" workbookViewId="0">
      <selection activeCell="E38" sqref="E38"/>
    </sheetView>
  </sheetViews>
  <sheetFormatPr defaultRowHeight="15" x14ac:dyDescent="0.25"/>
  <cols>
    <col min="1" max="1" width="33.85546875" customWidth="1"/>
    <col min="6" max="6" width="32.42578125" customWidth="1"/>
    <col min="7" max="7" width="27.7109375" customWidth="1"/>
  </cols>
  <sheetData>
    <row r="1" spans="1:9" x14ac:dyDescent="0.25">
      <c r="A1" s="5" t="s">
        <v>42</v>
      </c>
      <c r="B1" s="5"/>
      <c r="C1" s="5"/>
      <c r="D1" s="5"/>
      <c r="E1" s="5"/>
      <c r="F1" s="5"/>
      <c r="G1" s="5"/>
    </row>
    <row r="2" spans="1:9" x14ac:dyDescent="0.25">
      <c r="A2" s="5"/>
      <c r="B2" s="5"/>
      <c r="C2" s="5"/>
      <c r="D2" s="5"/>
      <c r="E2" s="5"/>
      <c r="F2" s="5"/>
      <c r="G2" s="5"/>
    </row>
    <row r="3" spans="1:9" x14ac:dyDescent="0.25">
      <c r="A3" s="2" t="s">
        <v>39</v>
      </c>
    </row>
    <row r="4" spans="1:9" ht="15.75" thickBot="1" x14ac:dyDescent="0.3">
      <c r="A4" t="s">
        <v>4</v>
      </c>
      <c r="B4" t="s">
        <v>17</v>
      </c>
    </row>
    <row r="5" spans="1:9" ht="15.75" thickBot="1" x14ac:dyDescent="0.3">
      <c r="A5" t="s">
        <v>91</v>
      </c>
      <c r="B5" s="3">
        <v>92000</v>
      </c>
      <c r="C5" s="2" t="s">
        <v>11</v>
      </c>
    </row>
    <row r="6" spans="1:9" ht="15.75" thickBot="1" x14ac:dyDescent="0.3">
      <c r="A6" t="s">
        <v>12</v>
      </c>
      <c r="B6" s="3">
        <v>513</v>
      </c>
      <c r="C6" s="2" t="s">
        <v>16</v>
      </c>
    </row>
    <row r="7" spans="1:9" x14ac:dyDescent="0.25">
      <c r="A7" t="s">
        <v>5</v>
      </c>
      <c r="B7">
        <f>1000-B6</f>
        <v>487</v>
      </c>
    </row>
    <row r="8" spans="1:9" ht="15.75" thickBot="1" x14ac:dyDescent="0.3">
      <c r="A8" t="s">
        <v>15</v>
      </c>
      <c r="B8">
        <v>5</v>
      </c>
    </row>
    <row r="9" spans="1:9" ht="15.75" thickBot="1" x14ac:dyDescent="0.3">
      <c r="F9" t="s">
        <v>26</v>
      </c>
      <c r="G9" s="3">
        <v>0.6</v>
      </c>
      <c r="I9" t="s">
        <v>23</v>
      </c>
    </row>
    <row r="10" spans="1:9" ht="15.75" thickBot="1" x14ac:dyDescent="0.3">
      <c r="A10" t="s">
        <v>6</v>
      </c>
      <c r="F10" t="s">
        <v>27</v>
      </c>
      <c r="G10" s="3">
        <v>25</v>
      </c>
    </row>
    <row r="11" spans="1:9" ht="15.75" thickBot="1" x14ac:dyDescent="0.3">
      <c r="A11" t="s">
        <v>7</v>
      </c>
      <c r="B11">
        <f>3900+B7</f>
        <v>4387</v>
      </c>
      <c r="F11" t="s">
        <v>29</v>
      </c>
      <c r="G11" s="3">
        <v>0.66249999999999998</v>
      </c>
    </row>
    <row r="12" spans="1:9" ht="15.75" thickBot="1" x14ac:dyDescent="0.3">
      <c r="A12" t="s">
        <v>8</v>
      </c>
      <c r="B12">
        <f>B6</f>
        <v>513</v>
      </c>
      <c r="F12" t="s">
        <v>28</v>
      </c>
      <c r="G12" s="3">
        <v>0</v>
      </c>
    </row>
    <row r="13" spans="1:9" x14ac:dyDescent="0.25">
      <c r="A13" t="s">
        <v>9</v>
      </c>
      <c r="B13">
        <v>20000</v>
      </c>
    </row>
    <row r="14" spans="1:9" x14ac:dyDescent="0.25">
      <c r="A14" t="s">
        <v>10</v>
      </c>
      <c r="B14">
        <f>180000+B5</f>
        <v>272000</v>
      </c>
      <c r="F14" t="s">
        <v>22</v>
      </c>
      <c r="G14">
        <f>(G9-G11)/(G10-G12)</f>
        <v>-2.5000000000000001E-3</v>
      </c>
      <c r="I14" t="s">
        <v>32</v>
      </c>
    </row>
    <row r="15" spans="1:9" x14ac:dyDescent="0.25">
      <c r="F15" t="s">
        <v>25</v>
      </c>
      <c r="G15">
        <f>-G14*G12+G11</f>
        <v>0.66249999999999998</v>
      </c>
    </row>
    <row r="16" spans="1:9" ht="15.75" thickBot="1" x14ac:dyDescent="0.3">
      <c r="A16" t="s">
        <v>13</v>
      </c>
      <c r="B16">
        <f>1+((B14/B11+B14/B12)/(1+B13/B12+B13/B11))</f>
        <v>14.294692673498156</v>
      </c>
    </row>
    <row r="17" spans="1:9" ht="15.75" thickBot="1" x14ac:dyDescent="0.3">
      <c r="A17" t="s">
        <v>14</v>
      </c>
      <c r="B17">
        <f>-1*B8*(B14/B11*(1/(1+B13/B11+B13/B12)))</f>
        <v>-6.9593646341883204</v>
      </c>
      <c r="F17" t="s">
        <v>33</v>
      </c>
      <c r="G17" s="3">
        <v>70</v>
      </c>
      <c r="I17" t="s">
        <v>92</v>
      </c>
    </row>
    <row r="18" spans="1:9" ht="15.75" thickBot="1" x14ac:dyDescent="0.3">
      <c r="F18" t="s">
        <v>34</v>
      </c>
      <c r="G18">
        <f>G$14*G17+G$15</f>
        <v>0.48749999999999993</v>
      </c>
    </row>
    <row r="19" spans="1:9" ht="15.75" thickBot="1" x14ac:dyDescent="0.3">
      <c r="F19" t="s">
        <v>30</v>
      </c>
      <c r="G19" s="3">
        <v>-70</v>
      </c>
    </row>
    <row r="20" spans="1:9" x14ac:dyDescent="0.25">
      <c r="F20" t="s">
        <v>31</v>
      </c>
      <c r="G20">
        <f>G$14*G19+G$15</f>
        <v>0.83750000000000002</v>
      </c>
    </row>
    <row r="21" spans="1:9" ht="15.75" thickBot="1" x14ac:dyDescent="0.3"/>
    <row r="22" spans="1:9" ht="15.75" thickBot="1" x14ac:dyDescent="0.3">
      <c r="F22" t="s">
        <v>40</v>
      </c>
      <c r="G22" s="3">
        <v>5</v>
      </c>
      <c r="I22" t="s">
        <v>38</v>
      </c>
    </row>
    <row r="23" spans="1:9" ht="15.75" thickBot="1" x14ac:dyDescent="0.3">
      <c r="F23" t="s">
        <v>37</v>
      </c>
      <c r="G23" s="3">
        <v>0</v>
      </c>
    </row>
    <row r="25" spans="1:9" x14ac:dyDescent="0.25">
      <c r="F25" t="s">
        <v>35</v>
      </c>
      <c r="G25">
        <f>(G22-G23)/(G20-G18)</f>
        <v>14.285714285714283</v>
      </c>
    </row>
    <row r="26" spans="1:9" x14ac:dyDescent="0.25">
      <c r="F26" t="s">
        <v>36</v>
      </c>
      <c r="G26">
        <f>-G25*G20+G22</f>
        <v>-6.9642857142857117</v>
      </c>
    </row>
    <row r="29" spans="1:9" ht="15.75" thickBot="1" x14ac:dyDescent="0.3">
      <c r="A29" t="s">
        <v>102</v>
      </c>
    </row>
    <row r="30" spans="1:9" ht="15.75" thickBot="1" x14ac:dyDescent="0.3">
      <c r="A30" t="s">
        <v>109</v>
      </c>
      <c r="B30" s="3">
        <v>479</v>
      </c>
    </row>
    <row r="31" spans="1:9" x14ac:dyDescent="0.25">
      <c r="A31" t="s">
        <v>94</v>
      </c>
      <c r="B31">
        <v>2826</v>
      </c>
    </row>
    <row r="32" spans="1:9" x14ac:dyDescent="0.25">
      <c r="B32">
        <v>1</v>
      </c>
    </row>
    <row r="33" spans="1:6" x14ac:dyDescent="0.25">
      <c r="A33" t="s">
        <v>106</v>
      </c>
    </row>
    <row r="34" spans="1:6" x14ac:dyDescent="0.25">
      <c r="A34" t="s">
        <v>105</v>
      </c>
      <c r="B34" t="s">
        <v>1</v>
      </c>
      <c r="C34" t="s">
        <v>2</v>
      </c>
      <c r="D34" t="s">
        <v>3</v>
      </c>
      <c r="E34" t="s">
        <v>0</v>
      </c>
      <c r="F34" t="s">
        <v>97</v>
      </c>
    </row>
    <row r="35" spans="1:6" x14ac:dyDescent="0.25">
      <c r="A35">
        <f>B30</f>
        <v>479</v>
      </c>
      <c r="B35">
        <v>-1</v>
      </c>
      <c r="C35">
        <f>B31+1000+3900</f>
        <v>7726</v>
      </c>
      <c r="D35">
        <f>-C35*A35</f>
        <v>-3700754</v>
      </c>
      <c r="E35" s="1">
        <f>(-C35+SQRT((C35^2)-4*(B35)*(D35)))/(2*B35)</f>
        <v>513.07238884181243</v>
      </c>
      <c r="F35" t="s">
        <v>98</v>
      </c>
    </row>
    <row r="36" spans="1:6" x14ac:dyDescent="0.25">
      <c r="E36">
        <f>(-C35-SQRT((C35^2)-4*(B35)*(D35)))/(2*B35)</f>
        <v>7212.9276111581876</v>
      </c>
      <c r="F36" t="s">
        <v>96</v>
      </c>
    </row>
    <row r="38" spans="1:6" ht="15.75" thickBot="1" x14ac:dyDescent="0.3">
      <c r="A38" t="s">
        <v>103</v>
      </c>
    </row>
    <row r="39" spans="1:6" ht="15.75" thickBot="1" x14ac:dyDescent="0.3">
      <c r="A39" t="s">
        <v>104</v>
      </c>
      <c r="B39" s="3">
        <v>513</v>
      </c>
    </row>
    <row r="40" spans="1:6" x14ac:dyDescent="0.25">
      <c r="A40" t="s">
        <v>93</v>
      </c>
      <c r="B40">
        <f>(1/B39+1/(1000-B39+3900+B31))^(-1)</f>
        <v>478.93722495469848</v>
      </c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E07EF-E3FC-4B19-9D25-D09CE1AA32CB}">
  <dimension ref="A1:I34"/>
  <sheetViews>
    <sheetView topLeftCell="A18" workbookViewId="0">
      <selection activeCell="B34" sqref="B34"/>
    </sheetView>
  </sheetViews>
  <sheetFormatPr defaultRowHeight="15" x14ac:dyDescent="0.25"/>
  <cols>
    <col min="1" max="1" width="33.85546875" customWidth="1"/>
    <col min="6" max="6" width="30.7109375" customWidth="1"/>
    <col min="7" max="7" width="19.85546875" customWidth="1"/>
  </cols>
  <sheetData>
    <row r="1" spans="1:9" x14ac:dyDescent="0.25">
      <c r="A1" s="5" t="s">
        <v>44</v>
      </c>
      <c r="B1" s="5"/>
      <c r="C1" s="5"/>
      <c r="D1" s="5"/>
      <c r="E1" s="5"/>
      <c r="F1" s="5"/>
      <c r="G1" s="5"/>
    </row>
    <row r="2" spans="1:9" x14ac:dyDescent="0.25">
      <c r="A2" s="5"/>
      <c r="B2" s="5"/>
      <c r="C2" s="5"/>
      <c r="D2" s="5"/>
      <c r="E2" s="5"/>
      <c r="F2" s="5"/>
      <c r="G2" s="5"/>
    </row>
    <row r="3" spans="1:9" x14ac:dyDescent="0.25">
      <c r="A3" s="2" t="s">
        <v>39</v>
      </c>
    </row>
    <row r="4" spans="1:9" ht="15.75" thickBot="1" x14ac:dyDescent="0.3">
      <c r="A4" t="s">
        <v>4</v>
      </c>
      <c r="B4" t="s">
        <v>17</v>
      </c>
    </row>
    <row r="5" spans="1:9" ht="15.75" thickBot="1" x14ac:dyDescent="0.3">
      <c r="A5" t="s">
        <v>52</v>
      </c>
      <c r="B5" s="3">
        <v>7000</v>
      </c>
      <c r="C5" s="2" t="s">
        <v>55</v>
      </c>
    </row>
    <row r="6" spans="1:9" ht="15.75" thickBot="1" x14ac:dyDescent="0.3">
      <c r="A6" t="s">
        <v>56</v>
      </c>
      <c r="B6">
        <f>10000-B5</f>
        <v>3000</v>
      </c>
      <c r="C6" s="2" t="s">
        <v>81</v>
      </c>
    </row>
    <row r="7" spans="1:9" ht="15.75" thickBot="1" x14ac:dyDescent="0.3">
      <c r="A7" t="s">
        <v>51</v>
      </c>
      <c r="B7" s="3">
        <v>2000</v>
      </c>
      <c r="C7" s="2" t="s">
        <v>54</v>
      </c>
    </row>
    <row r="8" spans="1:9" x14ac:dyDescent="0.25">
      <c r="A8" t="s">
        <v>53</v>
      </c>
      <c r="B8">
        <f>10000-B7</f>
        <v>8000</v>
      </c>
      <c r="C8" s="2" t="s">
        <v>80</v>
      </c>
    </row>
    <row r="9" spans="1:9" ht="15.75" thickBot="1" x14ac:dyDescent="0.3">
      <c r="A9" t="s">
        <v>15</v>
      </c>
      <c r="B9">
        <v>5</v>
      </c>
    </row>
    <row r="10" spans="1:9" ht="15.75" thickBot="1" x14ac:dyDescent="0.3">
      <c r="F10" t="s">
        <v>45</v>
      </c>
      <c r="G10" s="3">
        <v>0.8</v>
      </c>
      <c r="I10" t="s">
        <v>23</v>
      </c>
    </row>
    <row r="11" spans="1:9" ht="15.75" thickBot="1" x14ac:dyDescent="0.3">
      <c r="A11" t="s">
        <v>6</v>
      </c>
      <c r="F11" t="s">
        <v>47</v>
      </c>
      <c r="G11" s="3">
        <v>0</v>
      </c>
    </row>
    <row r="12" spans="1:9" ht="15.75" thickBot="1" x14ac:dyDescent="0.3">
      <c r="A12" t="s">
        <v>7</v>
      </c>
      <c r="B12">
        <f>B5</f>
        <v>7000</v>
      </c>
      <c r="F12" t="s">
        <v>46</v>
      </c>
      <c r="G12" s="3">
        <v>3</v>
      </c>
    </row>
    <row r="13" spans="1:9" ht="15.75" thickBot="1" x14ac:dyDescent="0.3">
      <c r="A13" t="s">
        <v>8</v>
      </c>
      <c r="B13">
        <f>B6</f>
        <v>3000</v>
      </c>
      <c r="F13" t="s">
        <v>48</v>
      </c>
      <c r="G13" s="3">
        <v>75</v>
      </c>
    </row>
    <row r="14" spans="1:9" x14ac:dyDescent="0.25">
      <c r="A14" t="s">
        <v>9</v>
      </c>
      <c r="B14">
        <v>6800</v>
      </c>
    </row>
    <row r="15" spans="1:9" x14ac:dyDescent="0.25">
      <c r="A15" t="s">
        <v>10</v>
      </c>
      <c r="B15">
        <v>10000</v>
      </c>
      <c r="F15" t="s">
        <v>49</v>
      </c>
      <c r="G15">
        <f>(G10-G12)/(G11-G13)</f>
        <v>2.9333333333333336E-2</v>
      </c>
      <c r="I15" t="s">
        <v>32</v>
      </c>
    </row>
    <row r="16" spans="1:9" x14ac:dyDescent="0.25">
      <c r="A16" s="2" t="s">
        <v>24</v>
      </c>
      <c r="F16" t="s">
        <v>50</v>
      </c>
      <c r="G16">
        <f>-G15*G13+G12</f>
        <v>0.79999999999999982</v>
      </c>
    </row>
    <row r="17" spans="1:9" ht="15.75" thickBot="1" x14ac:dyDescent="0.3">
      <c r="A17" t="s">
        <v>61</v>
      </c>
      <c r="B17">
        <f>1+((B15/B12+B15/B13)/(1+B14/B13+B14/B12))</f>
        <v>2.1235955056179776</v>
      </c>
    </row>
    <row r="18" spans="1:9" ht="15.75" thickBot="1" x14ac:dyDescent="0.3">
      <c r="A18" t="s">
        <v>62</v>
      </c>
      <c r="B18">
        <f>-1*B9*(B15/B12*(1/(1+B14/B12+B14/B13)))</f>
        <v>-1.6853932584269662</v>
      </c>
      <c r="F18" t="s">
        <v>57</v>
      </c>
      <c r="G18" s="3">
        <v>0</v>
      </c>
      <c r="I18" t="s">
        <v>92</v>
      </c>
    </row>
    <row r="19" spans="1:9" ht="15.75" thickBot="1" x14ac:dyDescent="0.3">
      <c r="F19" t="s">
        <v>83</v>
      </c>
      <c r="G19">
        <f>G$15*G18+G$16</f>
        <v>0.79999999999999982</v>
      </c>
    </row>
    <row r="20" spans="1:9" ht="15.75" thickBot="1" x14ac:dyDescent="0.3">
      <c r="A20" t="s">
        <v>82</v>
      </c>
      <c r="B20">
        <f>G19*B17+B18</f>
        <v>1.348314606741563E-2</v>
      </c>
      <c r="F20" t="s">
        <v>58</v>
      </c>
      <c r="G20" s="3">
        <v>100</v>
      </c>
    </row>
    <row r="21" spans="1:9" x14ac:dyDescent="0.25">
      <c r="A21" t="s">
        <v>85</v>
      </c>
      <c r="B21">
        <f>G21*B17+B18</f>
        <v>6.2426966292134836</v>
      </c>
      <c r="F21" t="s">
        <v>84</v>
      </c>
      <c r="G21">
        <f>G$15*G20+G$16</f>
        <v>3.7333333333333334</v>
      </c>
    </row>
    <row r="22" spans="1:9" ht="15.75" thickBot="1" x14ac:dyDescent="0.3">
      <c r="A22" t="s">
        <v>86</v>
      </c>
      <c r="B22">
        <f>5/B21</f>
        <v>0.80093592512598988</v>
      </c>
    </row>
    <row r="23" spans="1:9" ht="15.75" thickBot="1" x14ac:dyDescent="0.3">
      <c r="F23" t="s">
        <v>59</v>
      </c>
      <c r="G23" s="3">
        <v>5</v>
      </c>
      <c r="I23" t="s">
        <v>38</v>
      </c>
    </row>
    <row r="24" spans="1:9" ht="15.75" thickBot="1" x14ac:dyDescent="0.3">
      <c r="A24" t="s">
        <v>63</v>
      </c>
      <c r="B24">
        <f>B8/(B8+B7)</f>
        <v>0.8</v>
      </c>
      <c r="F24" t="s">
        <v>60</v>
      </c>
      <c r="G24" s="3">
        <v>0</v>
      </c>
    </row>
    <row r="25" spans="1:9" x14ac:dyDescent="0.25">
      <c r="A25" t="s">
        <v>88</v>
      </c>
      <c r="B25">
        <f>B24*B20</f>
        <v>1.0786516853932504E-2</v>
      </c>
      <c r="F25" s="2" t="s">
        <v>87</v>
      </c>
    </row>
    <row r="26" spans="1:9" x14ac:dyDescent="0.25">
      <c r="A26" t="s">
        <v>89</v>
      </c>
      <c r="B26">
        <f>B21*B24</f>
        <v>4.9941573033707876</v>
      </c>
      <c r="F26" t="s">
        <v>35</v>
      </c>
      <c r="G26">
        <f>(G23-G24)/(G21-G19)</f>
        <v>1.7045454545454544</v>
      </c>
    </row>
    <row r="27" spans="1:9" x14ac:dyDescent="0.25">
      <c r="F27" t="s">
        <v>36</v>
      </c>
      <c r="G27">
        <f>-G26*G21+G23</f>
        <v>-1.3636363636363633</v>
      </c>
    </row>
    <row r="28" spans="1:9" x14ac:dyDescent="0.25">
      <c r="A28" t="s">
        <v>64</v>
      </c>
      <c r="B28">
        <f>B24*B17</f>
        <v>1.6988764044943823</v>
      </c>
    </row>
    <row r="29" spans="1:9" x14ac:dyDescent="0.25">
      <c r="A29" t="s">
        <v>65</v>
      </c>
      <c r="B29">
        <f>B24*B18</f>
        <v>-1.348314606741573</v>
      </c>
    </row>
    <row r="32" spans="1:9" ht="15.75" thickBot="1" x14ac:dyDescent="0.3">
      <c r="A32" t="s">
        <v>110</v>
      </c>
    </row>
    <row r="33" spans="1:2" ht="15.75" thickBot="1" x14ac:dyDescent="0.3">
      <c r="A33" t="s">
        <v>111</v>
      </c>
      <c r="B33" s="3">
        <v>3000</v>
      </c>
    </row>
    <row r="34" spans="1:2" x14ac:dyDescent="0.25">
      <c r="A34" t="s">
        <v>93</v>
      </c>
      <c r="B34">
        <f>(1/B33+1/(12184-B33)+1/26800)^(-1)</f>
        <v>2085.3675068458488</v>
      </c>
    </row>
  </sheetData>
  <mergeCells count="1">
    <mergeCell ref="A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273C-6BE3-495C-AA1F-E2845618CA52}">
  <dimension ref="A1:G32"/>
  <sheetViews>
    <sheetView tabSelected="1" topLeftCell="A13" workbookViewId="0">
      <selection activeCell="C34" sqref="C34"/>
    </sheetView>
  </sheetViews>
  <sheetFormatPr defaultRowHeight="15" x14ac:dyDescent="0.25"/>
  <cols>
    <col min="1" max="1" width="38.28515625" customWidth="1"/>
    <col min="6" max="6" width="30.7109375" customWidth="1"/>
    <col min="7" max="7" width="19.85546875" customWidth="1"/>
  </cols>
  <sheetData>
    <row r="1" spans="1:7" x14ac:dyDescent="0.25">
      <c r="A1" s="5" t="s">
        <v>66</v>
      </c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2" t="s">
        <v>39</v>
      </c>
    </row>
    <row r="4" spans="1:7" ht="15.75" thickBot="1" x14ac:dyDescent="0.3">
      <c r="A4" t="s">
        <v>4</v>
      </c>
      <c r="B4" t="s">
        <v>17</v>
      </c>
    </row>
    <row r="5" spans="1:7" ht="15.75" thickBot="1" x14ac:dyDescent="0.3">
      <c r="A5" t="s">
        <v>73</v>
      </c>
      <c r="B5" s="3">
        <v>10000</v>
      </c>
      <c r="C5" s="2" t="s">
        <v>55</v>
      </c>
    </row>
    <row r="7" spans="1:7" ht="15.75" thickBot="1" x14ac:dyDescent="0.3">
      <c r="A7" t="s">
        <v>15</v>
      </c>
      <c r="B7">
        <v>5</v>
      </c>
    </row>
    <row r="8" spans="1:7" ht="15.75" thickBot="1" x14ac:dyDescent="0.3">
      <c r="F8" t="s">
        <v>68</v>
      </c>
      <c r="G8" s="3">
        <v>0.5</v>
      </c>
    </row>
    <row r="9" spans="1:7" ht="15.75" thickBot="1" x14ac:dyDescent="0.3">
      <c r="A9" t="s">
        <v>6</v>
      </c>
      <c r="F9" t="s">
        <v>67</v>
      </c>
      <c r="G9" s="3">
        <v>0</v>
      </c>
    </row>
    <row r="10" spans="1:7" ht="15.75" thickBot="1" x14ac:dyDescent="0.3">
      <c r="A10" t="s">
        <v>7</v>
      </c>
      <c r="B10">
        <f>B5+9100</f>
        <v>19100</v>
      </c>
      <c r="F10" t="s">
        <v>69</v>
      </c>
      <c r="G10" s="3">
        <v>4.5</v>
      </c>
    </row>
    <row r="11" spans="1:7" ht="15.75" thickBot="1" x14ac:dyDescent="0.3">
      <c r="A11" t="s">
        <v>8</v>
      </c>
      <c r="B11">
        <v>1000</v>
      </c>
      <c r="F11" t="s">
        <v>70</v>
      </c>
      <c r="G11" s="3">
        <v>15</v>
      </c>
    </row>
    <row r="12" spans="1:7" x14ac:dyDescent="0.25">
      <c r="A12" t="s">
        <v>9</v>
      </c>
      <c r="B12">
        <v>10000</v>
      </c>
    </row>
    <row r="13" spans="1:7" x14ac:dyDescent="0.25">
      <c r="A13" t="s">
        <v>10</v>
      </c>
      <c r="B13">
        <v>62000</v>
      </c>
      <c r="F13" t="s">
        <v>71</v>
      </c>
      <c r="G13">
        <f>(G8-G10)/(G9-G11)</f>
        <v>0.26666666666666666</v>
      </c>
    </row>
    <row r="14" spans="1:7" x14ac:dyDescent="0.25">
      <c r="A14" s="2" t="s">
        <v>24</v>
      </c>
      <c r="F14" t="s">
        <v>72</v>
      </c>
      <c r="G14">
        <f>-G13*G11+G10</f>
        <v>0.5</v>
      </c>
    </row>
    <row r="15" spans="1:7" x14ac:dyDescent="0.25">
      <c r="A15" t="s">
        <v>13</v>
      </c>
      <c r="B15">
        <f>1+((B13/B10+B13/B11)/(1+B12/B11+B12/B10))</f>
        <v>6.6619718309859159</v>
      </c>
    </row>
    <row r="16" spans="1:7" x14ac:dyDescent="0.25">
      <c r="A16" t="s">
        <v>14</v>
      </c>
      <c r="B16">
        <f>-1*B7*(B13/B10*(1/(1+B12/B10+B12/B11)))</f>
        <v>-1.4084507042253525</v>
      </c>
    </row>
    <row r="17" spans="1:7" ht="15.75" thickBot="1" x14ac:dyDescent="0.3"/>
    <row r="18" spans="1:7" ht="15.75" thickBot="1" x14ac:dyDescent="0.3">
      <c r="A18" t="s">
        <v>76</v>
      </c>
      <c r="B18" s="3">
        <v>0</v>
      </c>
    </row>
    <row r="19" spans="1:7" ht="15.75" thickBot="1" x14ac:dyDescent="0.3">
      <c r="A19" t="s">
        <v>75</v>
      </c>
      <c r="B19" s="3">
        <v>5</v>
      </c>
    </row>
    <row r="21" spans="1:7" x14ac:dyDescent="0.25">
      <c r="A21" t="s">
        <v>77</v>
      </c>
      <c r="B21">
        <f>(B19-B16)/B15</f>
        <v>0.96194503171247348</v>
      </c>
    </row>
    <row r="22" spans="1:7" x14ac:dyDescent="0.25">
      <c r="A22" t="s">
        <v>78</v>
      </c>
      <c r="B22">
        <f>(B18-B16)/B15</f>
        <v>0.21141649048625796</v>
      </c>
    </row>
    <row r="24" spans="1:7" x14ac:dyDescent="0.25">
      <c r="A24" t="s">
        <v>74</v>
      </c>
      <c r="B24">
        <f>(B21-G14)/G13</f>
        <v>1.7322938689217755</v>
      </c>
    </row>
    <row r="25" spans="1:7" x14ac:dyDescent="0.25">
      <c r="A25" t="s">
        <v>79</v>
      </c>
      <c r="B25">
        <f>(B22-G14)/G13</f>
        <v>-1.0821881606765325</v>
      </c>
    </row>
    <row r="27" spans="1:7" x14ac:dyDescent="0.25">
      <c r="A27" t="s">
        <v>90</v>
      </c>
      <c r="B27">
        <f>B24-B25</f>
        <v>2.8144820295983077</v>
      </c>
    </row>
    <row r="30" spans="1:7" ht="15.75" thickBot="1" x14ac:dyDescent="0.3">
      <c r="A30" t="s">
        <v>112</v>
      </c>
    </row>
    <row r="31" spans="1:7" ht="15.75" thickBot="1" x14ac:dyDescent="0.3">
      <c r="A31" t="s">
        <v>113</v>
      </c>
      <c r="B31" s="3">
        <v>10000</v>
      </c>
    </row>
    <row r="32" spans="1:7" x14ac:dyDescent="0.25">
      <c r="A32" t="s">
        <v>93</v>
      </c>
      <c r="B32">
        <f>(1/B31+1/(22068-B31))^(-1)</f>
        <v>5468.5517491390247</v>
      </c>
      <c r="G32" s="4"/>
    </row>
  </sheetData>
  <mergeCells count="1"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Internal Temp</vt:lpstr>
      <vt:lpstr>External Temp</vt:lpstr>
      <vt:lpstr>Humidity</vt:lpstr>
      <vt:lpstr>Pressure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Davis</dc:creator>
  <cp:lastModifiedBy>Aaron P Ryan</cp:lastModifiedBy>
  <dcterms:created xsi:type="dcterms:W3CDTF">2025-01-07T20:24:56Z</dcterms:created>
  <dcterms:modified xsi:type="dcterms:W3CDTF">2025-02-03T23:55:29Z</dcterms:modified>
</cp:coreProperties>
</file>